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lehmkuhler\Dropbox\"/>
    </mc:Choice>
  </mc:AlternateContent>
  <bookViews>
    <workbookView xWindow="0" yWindow="0" windowWidth="15345" windowHeight="4650"/>
  </bookViews>
  <sheets>
    <sheet name="Main" sheetId="4" r:id="rId1"/>
  </sheets>
  <calcPr calcId="152511" concurrentCalc="0"/>
</workbook>
</file>

<file path=xl/calcChain.xml><?xml version="1.0" encoding="utf-8"?>
<calcChain xmlns="http://schemas.openxmlformats.org/spreadsheetml/2006/main">
  <c r="D13" i="4" l="1"/>
  <c r="E13" i="4"/>
  <c r="D14" i="4"/>
  <c r="E14" i="4"/>
  <c r="D15" i="4"/>
  <c r="E15" i="4"/>
  <c r="D16" i="4"/>
  <c r="E16" i="4"/>
  <c r="D17" i="4"/>
  <c r="E17" i="4"/>
  <c r="D18" i="4"/>
  <c r="E18" i="4"/>
  <c r="E19" i="4"/>
  <c r="Q13" i="4"/>
  <c r="E28" i="4"/>
  <c r="N26" i="4"/>
  <c r="N27" i="4"/>
  <c r="N28" i="4"/>
  <c r="O26" i="4"/>
  <c r="O27" i="4"/>
  <c r="O28" i="4"/>
  <c r="P26" i="4"/>
  <c r="P27" i="4"/>
  <c r="P28" i="4"/>
  <c r="Q28" i="4"/>
  <c r="E29" i="4"/>
  <c r="O40" i="4"/>
  <c r="E30" i="4"/>
  <c r="E32" i="4"/>
  <c r="E33" i="4"/>
  <c r="E35" i="4"/>
  <c r="E38" i="4"/>
  <c r="E41" i="4"/>
  <c r="D29" i="4"/>
  <c r="D28" i="4"/>
  <c r="D32" i="4"/>
  <c r="D30" i="4"/>
  <c r="O46" i="4"/>
  <c r="O45" i="4"/>
  <c r="O44" i="4"/>
  <c r="O43" i="4"/>
  <c r="O42" i="4"/>
  <c r="O41" i="4"/>
  <c r="Q15" i="4"/>
  <c r="N29" i="4"/>
  <c r="N30" i="4"/>
  <c r="O29" i="4"/>
  <c r="O30" i="4"/>
  <c r="P29" i="4"/>
  <c r="P30" i="4"/>
  <c r="Q30" i="4"/>
  <c r="O39" i="4"/>
  <c r="N31" i="4"/>
  <c r="N32" i="4"/>
  <c r="N33" i="4"/>
  <c r="N34" i="4"/>
  <c r="N35" i="4"/>
  <c r="N36" i="4"/>
  <c r="O31" i="4"/>
  <c r="O32" i="4"/>
  <c r="O33" i="4"/>
  <c r="O34" i="4"/>
  <c r="O35" i="4"/>
  <c r="O36" i="4"/>
  <c r="P31" i="4"/>
  <c r="P32" i="4"/>
  <c r="P33" i="4"/>
  <c r="P34" i="4"/>
  <c r="P35" i="4"/>
  <c r="P36" i="4"/>
  <c r="Q36" i="4"/>
  <c r="Q35" i="4"/>
  <c r="Q34" i="4"/>
  <c r="Q33" i="4"/>
  <c r="Q32" i="4"/>
  <c r="Q31" i="4"/>
  <c r="Q29" i="4"/>
  <c r="Q27" i="4"/>
  <c r="Q26" i="4"/>
  <c r="Q25" i="4"/>
  <c r="Q21" i="4"/>
  <c r="Q20" i="4"/>
  <c r="Q19" i="4"/>
  <c r="Q18" i="4"/>
  <c r="Q17" i="4"/>
  <c r="Q16" i="4"/>
  <c r="Q14" i="4"/>
  <c r="Q12" i="4"/>
  <c r="Q11" i="4"/>
  <c r="Q10" i="4"/>
</calcChain>
</file>

<file path=xl/comments1.xml><?xml version="1.0" encoding="utf-8"?>
<comments xmlns="http://schemas.openxmlformats.org/spreadsheetml/2006/main">
  <authors>
    <author>Jeff Lehm</author>
    <author>Lyndsay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Click the cell and use the pull down  options to select the most appropriate response</t>
        </r>
      </text>
    </comment>
    <comment ref="A21" authorId="0" shapeId="0">
      <text>
        <r>
          <rPr>
            <b/>
            <sz val="8"/>
            <color indexed="81"/>
            <rFont val="Tahoma"/>
            <family val="2"/>
          </rPr>
          <t>Enter annual to be planted from table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Enter total tons of DM harvested per acre.</t>
        </r>
      </text>
    </comment>
    <comment ref="M38" authorId="1" shapeId="0">
      <text>
        <r>
          <rPr>
            <b/>
            <sz val="9"/>
            <color indexed="81"/>
            <rFont val="Tahoma"/>
            <family val="2"/>
          </rPr>
          <t xml:space="preserve">Application rates are based on highest recommended rates. 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</rPr>
          <t>Enter a number corresponding to the percentage utilization.  50-60% is reasonable estimate.</t>
        </r>
      </text>
    </comment>
  </commentList>
</comments>
</file>

<file path=xl/sharedStrings.xml><?xml version="1.0" encoding="utf-8"?>
<sst xmlns="http://schemas.openxmlformats.org/spreadsheetml/2006/main" count="141" uniqueCount="84">
  <si>
    <t>Equipment</t>
  </si>
  <si>
    <t>Tillage</t>
  </si>
  <si>
    <t>Fertility</t>
  </si>
  <si>
    <t>Planting</t>
  </si>
  <si>
    <t>Herbicide</t>
  </si>
  <si>
    <t>Inputs</t>
  </si>
  <si>
    <t>Seed</t>
  </si>
  <si>
    <t>Fertilizer</t>
  </si>
  <si>
    <t>Herbicides</t>
  </si>
  <si>
    <t>Corn</t>
  </si>
  <si>
    <t>Wheat</t>
  </si>
  <si>
    <t>Oats</t>
  </si>
  <si>
    <t>Triticale</t>
  </si>
  <si>
    <t>Turnips</t>
  </si>
  <si>
    <t>Sorghum-sudan</t>
  </si>
  <si>
    <t>Rye</t>
  </si>
  <si>
    <t>Italian ryegrass</t>
  </si>
  <si>
    <t>Seeding rate</t>
  </si>
  <si>
    <t>lb/acre</t>
  </si>
  <si>
    <t>Cost</t>
  </si>
  <si>
    <t>$/lb</t>
  </si>
  <si>
    <t>Pearl millet</t>
  </si>
  <si>
    <t>Forage planted</t>
  </si>
  <si>
    <t>$ / acre</t>
  </si>
  <si>
    <t>Acres planted</t>
  </si>
  <si>
    <t>Disking</t>
  </si>
  <si>
    <t>Harrowing</t>
  </si>
  <si>
    <t>Soil finishing</t>
  </si>
  <si>
    <t>Drilling small grain</t>
  </si>
  <si>
    <t>Broadcast seeding</t>
  </si>
  <si>
    <t>Liming</t>
  </si>
  <si>
    <t>Spraying</t>
  </si>
  <si>
    <t>User defined</t>
  </si>
  <si>
    <t>N rate</t>
  </si>
  <si>
    <t>P2O5 rate</t>
  </si>
  <si>
    <t>K2O rate</t>
  </si>
  <si>
    <t>N cost</t>
  </si>
  <si>
    <t>$/lb N</t>
  </si>
  <si>
    <t>P2O5</t>
  </si>
  <si>
    <t>K2O</t>
  </si>
  <si>
    <t>None</t>
  </si>
  <si>
    <t>Other</t>
  </si>
  <si>
    <t>Dry bulk fertilizer</t>
  </si>
  <si>
    <t>Fixed calculations</t>
  </si>
  <si>
    <t>Roundup</t>
  </si>
  <si>
    <t>Crossbow</t>
  </si>
  <si>
    <t>$/gal</t>
  </si>
  <si>
    <t>cost /acre</t>
  </si>
  <si>
    <t>No-till corn</t>
  </si>
  <si>
    <t>Costs of planting annuals for grazing</t>
  </si>
  <si>
    <t>Utilization Efficiency</t>
  </si>
  <si>
    <t xml:space="preserve"> </t>
  </si>
  <si>
    <t>Dr. Jeff Lehmkuhler, University of Kentucky Beef Cattle Specialist</t>
  </si>
  <si>
    <t>Dr. Ray Smith, Unviersity of Kentucky Forage Specialist</t>
  </si>
  <si>
    <t>No guarantees for accuracy are provided by UK CES.</t>
  </si>
  <si>
    <t>Teff</t>
  </si>
  <si>
    <t>Soybeans</t>
  </si>
  <si>
    <t>Misc.</t>
  </si>
  <si>
    <t>Dr. Greg Halich, University of Kentucky Farm Systems Economist</t>
  </si>
  <si>
    <t>Cost/acre*</t>
  </si>
  <si>
    <t>PastureGard</t>
  </si>
  <si>
    <t>Weedmaster</t>
  </si>
  <si>
    <t>2,4-D</t>
  </si>
  <si>
    <t>ForeFront</t>
  </si>
  <si>
    <t>application rate (Gal)</t>
  </si>
  <si>
    <t>Total costs for area planted</t>
  </si>
  <si>
    <t>Updated</t>
  </si>
  <si>
    <t>$/ton*</t>
  </si>
  <si>
    <t>*Lime + Delivered + Spread</t>
  </si>
  <si>
    <t>Gramoxone/Paraquat</t>
  </si>
  <si>
    <t xml:space="preserve">*Equipment rates derived from 2014 Custom Machinery Rates Applicable to Kentucky:  http://www2.ca.uky.edu/cmspubsclass/files/2014LandValueSurvey(Final).pdf </t>
  </si>
  <si>
    <t>Custom Rate per Acre</t>
  </si>
  <si>
    <t>Total Cost</t>
  </si>
  <si>
    <t>Plowing</t>
  </si>
  <si>
    <t>Cost/Ton Utilized Forage</t>
  </si>
  <si>
    <t>Cost/Ton DM</t>
  </si>
  <si>
    <t>Tons/acre</t>
  </si>
  <si>
    <t>Liming ($/acre)</t>
  </si>
  <si>
    <t>Yield (Ton DM)</t>
  </si>
  <si>
    <t>Total Equipment</t>
  </si>
  <si>
    <t>Per Acre</t>
  </si>
  <si>
    <t>Total</t>
  </si>
  <si>
    <t>Total Inputs</t>
  </si>
  <si>
    <t>Samantha Kindred, University of Kentucky Extension Research Associate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</si>
</sst>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&quot;$&quot;#,##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20"/>
      <name val="Arial"/>
      <family val="2"/>
    </font>
    <font>
      <b/>
      <sz val="26"/>
      <color theme="3"/>
      <name val="Cambria"/>
      <family val="2"/>
      <scheme val="major"/>
    </font>
    <font>
      <b/>
      <sz val="9"/>
      <color indexed="81"/>
      <name val="Tahoma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1"/>
      <color theme="3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0" fontId="0" fillId="2" borderId="0" xfId="0" applyFill="1" applyBorder="1"/>
    <xf numFmtId="0" fontId="0" fillId="3" borderId="5" xfId="0" applyFill="1" applyBorder="1"/>
    <xf numFmtId="0" fontId="0" fillId="3" borderId="6" xfId="0" applyFill="1" applyBorder="1"/>
    <xf numFmtId="164" fontId="0" fillId="2" borderId="0" xfId="0" applyNumberFormat="1" applyFill="1" applyBorder="1"/>
    <xf numFmtId="0" fontId="0" fillId="0" borderId="8" xfId="0" applyBorder="1"/>
    <xf numFmtId="0" fontId="1" fillId="3" borderId="3" xfId="0" applyFont="1" applyFill="1" applyBorder="1"/>
    <xf numFmtId="0" fontId="1" fillId="3" borderId="0" xfId="0" applyFont="1" applyFill="1" applyBorder="1"/>
    <xf numFmtId="164" fontId="0" fillId="2" borderId="6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0" fontId="0" fillId="0" borderId="0" xfId="0" applyFill="1" applyBorder="1"/>
    <xf numFmtId="0" fontId="3" fillId="3" borderId="12" xfId="0" applyFont="1" applyFill="1" applyBorder="1"/>
    <xf numFmtId="164" fontId="0" fillId="4" borderId="7" xfId="0" applyNumberFormat="1" applyFill="1" applyBorder="1"/>
    <xf numFmtId="0" fontId="0" fillId="2" borderId="0" xfId="0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4" borderId="11" xfId="0" applyNumberForma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2" fillId="0" borderId="0" xfId="0" applyFont="1"/>
    <xf numFmtId="164" fontId="1" fillId="2" borderId="4" xfId="0" applyNumberFormat="1" applyFont="1" applyFill="1" applyBorder="1" applyProtection="1">
      <protection locked="0"/>
    </xf>
    <xf numFmtId="0" fontId="6" fillId="0" borderId="0" xfId="0" applyFont="1"/>
    <xf numFmtId="0" fontId="7" fillId="0" borderId="0" xfId="0" applyFont="1"/>
    <xf numFmtId="0" fontId="5" fillId="0" borderId="0" xfId="1"/>
    <xf numFmtId="0" fontId="6" fillId="3" borderId="2" xfId="0" applyFont="1" applyFill="1" applyBorder="1"/>
    <xf numFmtId="0" fontId="6" fillId="3" borderId="3" xfId="0" applyFont="1" applyFill="1" applyBorder="1"/>
    <xf numFmtId="0" fontId="1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Border="1"/>
    <xf numFmtId="165" fontId="10" fillId="2" borderId="7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164" fontId="1" fillId="2" borderId="0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0" borderId="1" xfId="0" applyBorder="1"/>
    <xf numFmtId="164" fontId="0" fillId="4" borderId="2" xfId="0" applyNumberFormat="1" applyFill="1" applyBorder="1"/>
    <xf numFmtId="0" fontId="0" fillId="0" borderId="0" xfId="0" applyFill="1" applyBorder="1" applyProtection="1">
      <protection locked="0"/>
    </xf>
    <xf numFmtId="0" fontId="0" fillId="0" borderId="7" xfId="0" applyBorder="1"/>
    <xf numFmtId="0" fontId="1" fillId="3" borderId="3" xfId="0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164" fontId="0" fillId="5" borderId="10" xfId="0" applyNumberFormat="1" applyFill="1" applyBorder="1"/>
    <xf numFmtId="164" fontId="0" fillId="4" borderId="14" xfId="0" applyNumberFormat="1" applyFill="1" applyBorder="1"/>
    <xf numFmtId="0" fontId="10" fillId="2" borderId="7" xfId="0" applyFont="1" applyFill="1" applyBorder="1" applyAlignment="1" applyProtection="1">
      <alignment horizontal="center"/>
      <protection locked="0"/>
    </xf>
    <xf numFmtId="9" fontId="10" fillId="2" borderId="7" xfId="0" applyNumberFormat="1" applyFont="1" applyFill="1" applyBorder="1" applyAlignment="1" applyProtection="1">
      <alignment horizontal="center"/>
      <protection locked="0"/>
    </xf>
    <xf numFmtId="166" fontId="11" fillId="4" borderId="7" xfId="0" applyNumberFormat="1" applyFont="1" applyFill="1" applyBorder="1"/>
    <xf numFmtId="0" fontId="0" fillId="0" borderId="0" xfId="0" applyAlignment="1"/>
    <xf numFmtId="0" fontId="1" fillId="0" borderId="0" xfId="0" applyFont="1" applyAlignment="1"/>
    <xf numFmtId="0" fontId="0" fillId="0" borderId="7" xfId="0" applyBorder="1" applyAlignment="1">
      <alignment horizontal="center" vertical="center"/>
    </xf>
    <xf numFmtId="164" fontId="3" fillId="4" borderId="7" xfId="0" applyNumberFormat="1" applyFont="1" applyFill="1" applyBorder="1"/>
    <xf numFmtId="0" fontId="1" fillId="0" borderId="7" xfId="0" applyFont="1" applyBorder="1"/>
    <xf numFmtId="0" fontId="1" fillId="0" borderId="7" xfId="0" applyFont="1" applyFill="1" applyBorder="1"/>
    <xf numFmtId="164" fontId="0" fillId="5" borderId="7" xfId="0" applyNumberFormat="1" applyFill="1" applyBorder="1"/>
    <xf numFmtId="166" fontId="3" fillId="4" borderId="7" xfId="0" applyNumberFormat="1" applyFont="1" applyFill="1" applyBorder="1"/>
    <xf numFmtId="165" fontId="10" fillId="6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3" fillId="0" borderId="0" xfId="0" applyFont="1" applyFill="1" applyBorder="1"/>
    <xf numFmtId="0" fontId="10" fillId="2" borderId="13" xfId="0" applyFont="1" applyFill="1" applyBorder="1" applyAlignment="1" applyProtection="1">
      <alignment horizontal="center"/>
      <protection locked="0"/>
    </xf>
    <xf numFmtId="0" fontId="0" fillId="4" borderId="0" xfId="0" applyFill="1" applyAlignment="1"/>
    <xf numFmtId="0" fontId="1" fillId="2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/>
    <xf numFmtId="0" fontId="15" fillId="3" borderId="5" xfId="0" applyFont="1" applyFill="1" applyBorder="1" applyAlignment="1"/>
    <xf numFmtId="0" fontId="15" fillId="3" borderId="6" xfId="0" applyFont="1" applyFill="1" applyBorder="1" applyAlignment="1"/>
    <xf numFmtId="164" fontId="15" fillId="2" borderId="4" xfId="0" applyNumberFormat="1" applyFont="1" applyFill="1" applyBorder="1" applyProtection="1">
      <protection locked="0"/>
    </xf>
    <xf numFmtId="164" fontId="15" fillId="2" borderId="11" xfId="0" applyNumberFormat="1" applyFont="1" applyFill="1" applyBorder="1" applyProtection="1">
      <protection locked="0"/>
    </xf>
    <xf numFmtId="0" fontId="3" fillId="3" borderId="13" xfId="0" applyFont="1" applyFill="1" applyBorder="1"/>
    <xf numFmtId="0" fontId="0" fillId="3" borderId="15" xfId="0" applyFill="1" applyBorder="1"/>
    <xf numFmtId="0" fontId="6" fillId="3" borderId="14" xfId="0" applyFont="1" applyFill="1" applyBorder="1"/>
    <xf numFmtId="0" fontId="3" fillId="0" borderId="0" xfId="0" applyFont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9" defaultPivotStyle="PivotStyleLight16"/>
  <colors>
    <mruColors>
      <color rgb="FFFFFF99"/>
      <color rgb="FFFFFFCC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44</xdr:row>
      <xdr:rowOff>133351</xdr:rowOff>
    </xdr:from>
    <xdr:to>
      <xdr:col>2</xdr:col>
      <xdr:colOff>621953</xdr:colOff>
      <xdr:row>55</xdr:row>
      <xdr:rowOff>112447</xdr:rowOff>
    </xdr:to>
    <xdr:pic>
      <xdr:nvPicPr>
        <xdr:cNvPr id="2" name="Picture 1" descr="CESvertical286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7585711"/>
          <a:ext cx="1710766" cy="1830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1"/>
  <sheetViews>
    <sheetView tabSelected="1" zoomScale="90" zoomScaleNormal="90" workbookViewId="0">
      <selection activeCell="Q14" sqref="Q14"/>
    </sheetView>
  </sheetViews>
  <sheetFormatPr defaultRowHeight="12.75" x14ac:dyDescent="0.2"/>
  <cols>
    <col min="1" max="1" width="9.42578125" customWidth="1"/>
    <col min="2" max="2" width="9.7109375" customWidth="1"/>
    <col min="3" max="3" width="18.7109375" customWidth="1"/>
    <col min="4" max="4" width="12.28515625" customWidth="1"/>
    <col min="6" max="6" width="3.140625" customWidth="1"/>
    <col min="8" max="8" width="3.42578125" customWidth="1"/>
    <col min="11" max="11" width="9.7109375" bestFit="1" customWidth="1"/>
    <col min="15" max="15" width="11.42578125" bestFit="1" customWidth="1"/>
    <col min="16" max="16" width="7.5703125" customWidth="1"/>
    <col min="17" max="17" width="7.28515625" bestFit="1" customWidth="1"/>
  </cols>
  <sheetData>
    <row r="1" spans="1:18" s="39" customFormat="1" ht="33" x14ac:dyDescent="0.45">
      <c r="A1" s="40"/>
      <c r="B1" s="92" t="s">
        <v>49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40"/>
      <c r="N1" s="40"/>
      <c r="O1" s="40"/>
      <c r="P1" s="40"/>
      <c r="Q1" s="40"/>
      <c r="R1" s="40"/>
    </row>
    <row r="2" spans="1:18" x14ac:dyDescent="0.2">
      <c r="B2" s="38" t="s">
        <v>52</v>
      </c>
    </row>
    <row r="3" spans="1:18" x14ac:dyDescent="0.2">
      <c r="B3" s="38" t="s">
        <v>53</v>
      </c>
    </row>
    <row r="4" spans="1:18" x14ac:dyDescent="0.2">
      <c r="B4" s="38" t="s">
        <v>58</v>
      </c>
    </row>
    <row r="5" spans="1:18" x14ac:dyDescent="0.2">
      <c r="B5" s="43" t="s">
        <v>83</v>
      </c>
    </row>
    <row r="7" spans="1:18" ht="13.5" thickBot="1" x14ac:dyDescent="0.25">
      <c r="B7" s="77"/>
      <c r="C7" s="79" t="s">
        <v>43</v>
      </c>
    </row>
    <row r="8" spans="1:18" x14ac:dyDescent="0.2">
      <c r="B8" s="78"/>
      <c r="C8" s="80" t="s">
        <v>32</v>
      </c>
      <c r="I8" s="17" t="s">
        <v>0</v>
      </c>
      <c r="J8" s="1"/>
      <c r="K8" s="41" t="s">
        <v>59</v>
      </c>
      <c r="M8" s="17" t="s">
        <v>22</v>
      </c>
      <c r="N8" s="1"/>
      <c r="O8" s="24" t="s">
        <v>17</v>
      </c>
      <c r="P8" s="25" t="s">
        <v>19</v>
      </c>
      <c r="Q8" s="2" t="s">
        <v>19</v>
      </c>
    </row>
    <row r="9" spans="1:18" x14ac:dyDescent="0.2">
      <c r="I9" s="11" t="s">
        <v>29</v>
      </c>
      <c r="J9" s="12"/>
      <c r="K9" s="37">
        <v>9.5</v>
      </c>
      <c r="M9" s="3"/>
      <c r="N9" s="4"/>
      <c r="O9" s="26" t="s">
        <v>18</v>
      </c>
      <c r="P9" s="27" t="s">
        <v>20</v>
      </c>
      <c r="Q9" s="5" t="s">
        <v>23</v>
      </c>
    </row>
    <row r="10" spans="1:18" x14ac:dyDescent="0.2">
      <c r="I10" s="56" t="s">
        <v>28</v>
      </c>
      <c r="J10" s="57"/>
      <c r="K10" s="37">
        <v>18</v>
      </c>
      <c r="M10" s="3" t="s">
        <v>9</v>
      </c>
      <c r="N10" s="4"/>
      <c r="O10" s="28">
        <v>20</v>
      </c>
      <c r="P10" s="34">
        <v>2.1</v>
      </c>
      <c r="Q10" s="14">
        <f t="shared" ref="Q10:Q18" si="0">P10*O10</f>
        <v>42</v>
      </c>
    </row>
    <row r="11" spans="1:18" ht="13.15" customHeight="1" x14ac:dyDescent="0.2">
      <c r="A11" s="99" t="s">
        <v>0</v>
      </c>
      <c r="B11" s="99"/>
      <c r="C11" s="99"/>
      <c r="D11" s="97" t="s">
        <v>71</v>
      </c>
      <c r="E11" s="95" t="s">
        <v>72</v>
      </c>
      <c r="G11" s="16"/>
      <c r="I11" s="56" t="s">
        <v>48</v>
      </c>
      <c r="J11" s="57"/>
      <c r="K11" s="37">
        <v>18</v>
      </c>
      <c r="M11" s="3" t="s">
        <v>16</v>
      </c>
      <c r="N11" s="4"/>
      <c r="O11" s="28">
        <v>40</v>
      </c>
      <c r="P11" s="34">
        <v>1</v>
      </c>
      <c r="Q11" s="14">
        <f t="shared" si="0"/>
        <v>40</v>
      </c>
    </row>
    <row r="12" spans="1:18" ht="24" customHeight="1" thickBot="1" x14ac:dyDescent="0.25">
      <c r="A12" s="99"/>
      <c r="B12" s="99"/>
      <c r="C12" s="99"/>
      <c r="D12" s="98"/>
      <c r="E12" s="96"/>
      <c r="G12" s="16"/>
      <c r="I12" s="56" t="s">
        <v>25</v>
      </c>
      <c r="J12" s="57"/>
      <c r="K12" s="37">
        <v>14</v>
      </c>
      <c r="M12" s="3" t="s">
        <v>57</v>
      </c>
      <c r="N12" s="4"/>
      <c r="O12" s="28">
        <v>20</v>
      </c>
      <c r="P12" s="34">
        <v>4</v>
      </c>
      <c r="Q12" s="14">
        <f t="shared" si="0"/>
        <v>80</v>
      </c>
    </row>
    <row r="13" spans="1:18" ht="13.5" thickBot="1" x14ac:dyDescent="0.25">
      <c r="B13" s="103" t="s">
        <v>1</v>
      </c>
      <c r="C13" s="76" t="s">
        <v>25</v>
      </c>
      <c r="D13" s="18">
        <f>VLOOKUP(C13,I9:K19,3,FALSE)</f>
        <v>14</v>
      </c>
      <c r="E13" s="53">
        <f t="shared" ref="E13:E18" si="1">D13*C$22</f>
        <v>28</v>
      </c>
      <c r="G13" s="54"/>
      <c r="I13" s="56" t="s">
        <v>73</v>
      </c>
      <c r="J13" s="57"/>
      <c r="K13" s="37">
        <v>18.5</v>
      </c>
      <c r="M13" s="3" t="s">
        <v>11</v>
      </c>
      <c r="N13" s="4"/>
      <c r="O13" s="28">
        <v>100</v>
      </c>
      <c r="P13" s="34">
        <v>0.45</v>
      </c>
      <c r="Q13" s="14">
        <f t="shared" si="0"/>
        <v>45</v>
      </c>
    </row>
    <row r="14" spans="1:18" ht="13.5" thickBot="1" x14ac:dyDescent="0.25">
      <c r="B14" s="104"/>
      <c r="C14" s="76" t="s">
        <v>73</v>
      </c>
      <c r="D14" s="18">
        <f>VLOOKUP(C14,I9:K19,3,FALSE)</f>
        <v>18.5</v>
      </c>
      <c r="E14" s="53">
        <f t="shared" si="1"/>
        <v>37</v>
      </c>
      <c r="G14" s="75"/>
      <c r="I14" s="56" t="s">
        <v>26</v>
      </c>
      <c r="J14" s="57"/>
      <c r="K14" s="37">
        <v>9</v>
      </c>
      <c r="M14" s="3" t="s">
        <v>21</v>
      </c>
      <c r="N14" s="4"/>
      <c r="O14" s="28">
        <v>30</v>
      </c>
      <c r="P14" s="34">
        <v>1</v>
      </c>
      <c r="Q14" s="14">
        <f t="shared" si="0"/>
        <v>30</v>
      </c>
    </row>
    <row r="15" spans="1:18" ht="13.5" thickBot="1" x14ac:dyDescent="0.25">
      <c r="B15" s="103" t="s">
        <v>2</v>
      </c>
      <c r="C15" s="76" t="s">
        <v>30</v>
      </c>
      <c r="D15" s="18">
        <f>VLOOKUP(C15,I9:K19,3,FALSE)</f>
        <v>19</v>
      </c>
      <c r="E15" s="53">
        <f t="shared" si="1"/>
        <v>38</v>
      </c>
      <c r="G15" s="75"/>
      <c r="I15" s="56" t="s">
        <v>27</v>
      </c>
      <c r="J15" s="57"/>
      <c r="K15" s="37">
        <v>14.5</v>
      </c>
      <c r="M15" s="3" t="s">
        <v>15</v>
      </c>
      <c r="N15" s="4"/>
      <c r="O15" s="28">
        <v>100</v>
      </c>
      <c r="P15" s="34">
        <v>0.49</v>
      </c>
      <c r="Q15" s="14">
        <f t="shared" si="0"/>
        <v>49</v>
      </c>
    </row>
    <row r="16" spans="1:18" ht="13.5" thickBot="1" x14ac:dyDescent="0.25">
      <c r="B16" s="104"/>
      <c r="C16" s="76" t="s">
        <v>42</v>
      </c>
      <c r="D16" s="18">
        <f>VLOOKUP(C16,I9:K19,3,FALSE)</f>
        <v>5.5</v>
      </c>
      <c r="E16" s="53">
        <f t="shared" si="1"/>
        <v>11</v>
      </c>
      <c r="G16" s="75"/>
      <c r="I16" s="56" t="s">
        <v>42</v>
      </c>
      <c r="J16" s="57"/>
      <c r="K16" s="37">
        <v>5.5</v>
      </c>
      <c r="M16" s="3" t="s">
        <v>14</v>
      </c>
      <c r="N16" s="4"/>
      <c r="O16" s="28">
        <v>30</v>
      </c>
      <c r="P16" s="34">
        <v>1.2</v>
      </c>
      <c r="Q16" s="14">
        <f t="shared" si="0"/>
        <v>36</v>
      </c>
    </row>
    <row r="17" spans="1:20" ht="13.5" thickBot="1" x14ac:dyDescent="0.25">
      <c r="B17" s="67" t="s">
        <v>3</v>
      </c>
      <c r="C17" s="76" t="s">
        <v>29</v>
      </c>
      <c r="D17" s="18">
        <f>VLOOKUP(C17,I9:K19,3,FALSE)</f>
        <v>9.5</v>
      </c>
      <c r="E17" s="53">
        <f t="shared" si="1"/>
        <v>19</v>
      </c>
      <c r="G17" s="75"/>
      <c r="I17" s="56" t="s">
        <v>30</v>
      </c>
      <c r="J17" s="57" t="s">
        <v>67</v>
      </c>
      <c r="K17" s="37">
        <v>19</v>
      </c>
      <c r="M17" s="3" t="s">
        <v>56</v>
      </c>
      <c r="N17" s="4"/>
      <c r="O17" s="28">
        <v>80</v>
      </c>
      <c r="P17" s="34">
        <v>0.85</v>
      </c>
      <c r="Q17" s="14">
        <f t="shared" si="0"/>
        <v>68</v>
      </c>
    </row>
    <row r="18" spans="1:20" ht="13.5" thickBot="1" x14ac:dyDescent="0.25">
      <c r="B18" s="67" t="s">
        <v>4</v>
      </c>
      <c r="C18" s="76" t="s">
        <v>31</v>
      </c>
      <c r="D18" s="18">
        <f>VLOOKUP(C18,I9:K19,3,FALSE)</f>
        <v>7</v>
      </c>
      <c r="E18" s="61">
        <f t="shared" si="1"/>
        <v>14</v>
      </c>
      <c r="G18" s="54"/>
      <c r="H18" s="74"/>
      <c r="I18" s="56" t="s">
        <v>31</v>
      </c>
      <c r="J18" s="57"/>
      <c r="K18" s="50">
        <v>7</v>
      </c>
      <c r="L18" s="10"/>
      <c r="M18" s="3" t="s">
        <v>55</v>
      </c>
      <c r="N18" s="4"/>
      <c r="O18" s="28">
        <v>7</v>
      </c>
      <c r="P18" s="34">
        <v>3</v>
      </c>
      <c r="Q18" s="14">
        <f t="shared" si="0"/>
        <v>21</v>
      </c>
    </row>
    <row r="19" spans="1:20" ht="13.5" thickBot="1" x14ac:dyDescent="0.25">
      <c r="B19" s="100" t="s">
        <v>79</v>
      </c>
      <c r="C19" s="101"/>
      <c r="D19" s="102"/>
      <c r="E19" s="68">
        <f>SUM(E13:E18)</f>
        <v>147</v>
      </c>
      <c r="G19" s="54"/>
      <c r="I19" s="58" t="s">
        <v>40</v>
      </c>
      <c r="J19" s="59"/>
      <c r="K19" s="37">
        <v>0</v>
      </c>
      <c r="M19" s="3" t="s">
        <v>12</v>
      </c>
      <c r="N19" s="4"/>
      <c r="O19" s="28">
        <v>100</v>
      </c>
      <c r="P19" s="34">
        <v>0.54</v>
      </c>
      <c r="Q19" s="14">
        <f>P19*O19</f>
        <v>54</v>
      </c>
    </row>
    <row r="20" spans="1:20" ht="13.5" thickBot="1" x14ac:dyDescent="0.25">
      <c r="G20" s="16"/>
      <c r="I20" s="51" t="s">
        <v>66</v>
      </c>
      <c r="J20" s="44">
        <v>41873</v>
      </c>
      <c r="K20" s="52"/>
      <c r="M20" s="3" t="s">
        <v>13</v>
      </c>
      <c r="N20" s="4"/>
      <c r="O20" s="28">
        <v>4</v>
      </c>
      <c r="P20" s="34">
        <v>2.75</v>
      </c>
      <c r="Q20" s="14">
        <f>P20*O20</f>
        <v>11</v>
      </c>
    </row>
    <row r="21" spans="1:20" ht="13.5" thickBot="1" x14ac:dyDescent="0.25">
      <c r="A21" s="93" t="s">
        <v>22</v>
      </c>
      <c r="B21" s="93"/>
      <c r="C21" s="62" t="s">
        <v>11</v>
      </c>
      <c r="G21" s="16"/>
      <c r="H21" s="47"/>
      <c r="I21" s="46" t="s">
        <v>68</v>
      </c>
      <c r="M21" s="7" t="s">
        <v>10</v>
      </c>
      <c r="N21" s="8"/>
      <c r="O21" s="31">
        <v>100</v>
      </c>
      <c r="P21" s="35">
        <v>0.33</v>
      </c>
      <c r="Q21" s="15">
        <f>P21*O21</f>
        <v>33</v>
      </c>
    </row>
    <row r="22" spans="1:20" ht="13.5" thickBot="1" x14ac:dyDescent="0.25">
      <c r="A22" s="93" t="s">
        <v>24</v>
      </c>
      <c r="B22" s="93"/>
      <c r="C22" s="48">
        <v>2</v>
      </c>
      <c r="D22" s="54"/>
      <c r="G22" s="16"/>
      <c r="S22" s="43" t="s">
        <v>51</v>
      </c>
    </row>
    <row r="23" spans="1:20" ht="13.5" thickBot="1" x14ac:dyDescent="0.25">
      <c r="A23" s="93" t="s">
        <v>30</v>
      </c>
      <c r="B23" s="93"/>
      <c r="C23" s="73">
        <v>2</v>
      </c>
      <c r="D23" s="43" t="s">
        <v>76</v>
      </c>
      <c r="G23" s="16"/>
      <c r="I23" s="17" t="s">
        <v>2</v>
      </c>
      <c r="J23" s="1"/>
      <c r="K23" s="24" t="s">
        <v>33</v>
      </c>
      <c r="L23" s="24" t="s">
        <v>34</v>
      </c>
      <c r="M23" s="24" t="s">
        <v>35</v>
      </c>
      <c r="N23" s="24" t="s">
        <v>36</v>
      </c>
      <c r="O23" s="24" t="s">
        <v>38</v>
      </c>
      <c r="P23" s="24" t="s">
        <v>39</v>
      </c>
      <c r="Q23" s="25" t="s">
        <v>19</v>
      </c>
    </row>
    <row r="24" spans="1:20" ht="13.5" thickBot="1" x14ac:dyDescent="0.25">
      <c r="A24" s="93" t="s">
        <v>8</v>
      </c>
      <c r="B24" s="93"/>
      <c r="C24" s="62" t="s">
        <v>45</v>
      </c>
      <c r="G24" s="16"/>
      <c r="I24" s="3"/>
      <c r="J24" s="4"/>
      <c r="K24" s="26" t="s">
        <v>18</v>
      </c>
      <c r="L24" s="26" t="s">
        <v>18</v>
      </c>
      <c r="M24" s="26" t="s">
        <v>18</v>
      </c>
      <c r="N24" s="26" t="s">
        <v>37</v>
      </c>
      <c r="O24" s="26" t="s">
        <v>20</v>
      </c>
      <c r="P24" s="26" t="s">
        <v>20</v>
      </c>
      <c r="Q24" s="27" t="s">
        <v>23</v>
      </c>
    </row>
    <row r="25" spans="1:20" ht="14.45" customHeight="1" x14ac:dyDescent="0.2">
      <c r="G25" s="16"/>
      <c r="I25" s="3" t="s">
        <v>9</v>
      </c>
      <c r="J25" s="4"/>
      <c r="K25" s="28">
        <v>150</v>
      </c>
      <c r="L25" s="28">
        <v>50</v>
      </c>
      <c r="M25" s="28">
        <v>40</v>
      </c>
      <c r="N25" s="29">
        <v>0.54</v>
      </c>
      <c r="O25" s="29">
        <v>0.38</v>
      </c>
      <c r="P25" s="29">
        <v>0.4</v>
      </c>
      <c r="Q25" s="30">
        <f t="shared" ref="Q25:Q36" si="2">(K25*N25)+(L25*O25)+(M25*P25)</f>
        <v>116</v>
      </c>
    </row>
    <row r="26" spans="1:20" ht="13.15" customHeight="1" x14ac:dyDescent="0.2">
      <c r="G26" s="16"/>
      <c r="I26" s="3" t="s">
        <v>16</v>
      </c>
      <c r="J26" s="4"/>
      <c r="K26" s="28">
        <v>40</v>
      </c>
      <c r="L26" s="28">
        <v>10</v>
      </c>
      <c r="M26" s="28">
        <v>30</v>
      </c>
      <c r="N26" s="29">
        <f>N25</f>
        <v>0.54</v>
      </c>
      <c r="O26" s="29">
        <f>O25</f>
        <v>0.38</v>
      </c>
      <c r="P26" s="29">
        <f>P25</f>
        <v>0.4</v>
      </c>
      <c r="Q26" s="30">
        <f t="shared" si="2"/>
        <v>37.400000000000006</v>
      </c>
      <c r="R26" s="43" t="s">
        <v>51</v>
      </c>
    </row>
    <row r="27" spans="1:20" ht="15.75" customHeight="1" thickBot="1" x14ac:dyDescent="0.25">
      <c r="A27" s="89" t="s">
        <v>5</v>
      </c>
      <c r="B27" s="89"/>
      <c r="C27" s="89"/>
      <c r="D27" s="88" t="s">
        <v>80</v>
      </c>
      <c r="E27" s="88" t="s">
        <v>81</v>
      </c>
      <c r="G27" s="16"/>
      <c r="I27" s="3" t="s">
        <v>57</v>
      </c>
      <c r="J27" s="4"/>
      <c r="K27" s="28">
        <v>60</v>
      </c>
      <c r="L27" s="28">
        <v>10</v>
      </c>
      <c r="M27" s="28">
        <v>40</v>
      </c>
      <c r="N27" s="29">
        <f t="shared" ref="N27:P36" si="3">N26</f>
        <v>0.54</v>
      </c>
      <c r="O27" s="29">
        <f t="shared" si="3"/>
        <v>0.38</v>
      </c>
      <c r="P27" s="29">
        <f t="shared" si="3"/>
        <v>0.4</v>
      </c>
      <c r="Q27" s="30">
        <f t="shared" si="2"/>
        <v>52.2</v>
      </c>
    </row>
    <row r="28" spans="1:20" ht="13.5" thickBot="1" x14ac:dyDescent="0.25">
      <c r="C28" s="55" t="s">
        <v>6</v>
      </c>
      <c r="D28" s="18">
        <f>VLOOKUP(C21,M10:Q21,5)</f>
        <v>45</v>
      </c>
      <c r="E28" s="18">
        <f>VLOOKUP(C21,M10:Q21,5)*C22</f>
        <v>90</v>
      </c>
      <c r="G28" s="16"/>
      <c r="I28" s="3" t="s">
        <v>11</v>
      </c>
      <c r="J28" s="4"/>
      <c r="K28" s="28">
        <v>40</v>
      </c>
      <c r="L28" s="28">
        <v>10</v>
      </c>
      <c r="M28" s="28">
        <v>30</v>
      </c>
      <c r="N28" s="29">
        <f t="shared" si="3"/>
        <v>0.54</v>
      </c>
      <c r="O28" s="29">
        <f t="shared" si="3"/>
        <v>0.38</v>
      </c>
      <c r="P28" s="29">
        <f t="shared" si="3"/>
        <v>0.4</v>
      </c>
      <c r="Q28" s="30">
        <f t="shared" si="2"/>
        <v>37.400000000000006</v>
      </c>
    </row>
    <row r="29" spans="1:20" ht="13.5" thickBot="1" x14ac:dyDescent="0.25">
      <c r="C29" s="55" t="s">
        <v>7</v>
      </c>
      <c r="D29" s="18">
        <f>VLOOKUP(C21,I23:Q36,9)</f>
        <v>37.400000000000006</v>
      </c>
      <c r="E29" s="18">
        <f>VLOOKUP(C21,I23:Q36,9)*C22</f>
        <v>74.800000000000011</v>
      </c>
      <c r="G29" s="16"/>
      <c r="I29" s="3" t="s">
        <v>21</v>
      </c>
      <c r="J29" s="4"/>
      <c r="K29" s="28">
        <v>40</v>
      </c>
      <c r="L29" s="28">
        <v>10</v>
      </c>
      <c r="M29" s="28">
        <v>30</v>
      </c>
      <c r="N29" s="29">
        <f t="shared" si="3"/>
        <v>0.54</v>
      </c>
      <c r="O29" s="29">
        <f t="shared" si="3"/>
        <v>0.38</v>
      </c>
      <c r="P29" s="29">
        <f t="shared" si="3"/>
        <v>0.4</v>
      </c>
      <c r="Q29" s="30">
        <f t="shared" si="2"/>
        <v>37.400000000000006</v>
      </c>
      <c r="T29" s="43" t="s">
        <v>51</v>
      </c>
    </row>
    <row r="30" spans="1:20" ht="13.5" thickBot="1" x14ac:dyDescent="0.25">
      <c r="C30" s="69" t="s">
        <v>8</v>
      </c>
      <c r="D30" s="18">
        <f>VLOOKUP(C24,I39:O46,7)</f>
        <v>8.5</v>
      </c>
      <c r="E30" s="18">
        <f>VLOOKUP(C24,I39:O46,7)*C22</f>
        <v>17</v>
      </c>
      <c r="G30" s="16"/>
      <c r="I30" s="3" t="s">
        <v>15</v>
      </c>
      <c r="J30" s="4"/>
      <c r="K30" s="28">
        <v>40</v>
      </c>
      <c r="L30" s="28">
        <v>10</v>
      </c>
      <c r="M30" s="28">
        <v>30</v>
      </c>
      <c r="N30" s="29">
        <f t="shared" si="3"/>
        <v>0.54</v>
      </c>
      <c r="O30" s="29">
        <f t="shared" si="3"/>
        <v>0.38</v>
      </c>
      <c r="P30" s="29">
        <f t="shared" si="3"/>
        <v>0.4</v>
      </c>
      <c r="Q30" s="30">
        <f t="shared" si="2"/>
        <v>37.400000000000006</v>
      </c>
    </row>
    <row r="31" spans="1:20" ht="13.5" thickBot="1" x14ac:dyDescent="0.25">
      <c r="C31" s="55" t="s">
        <v>41</v>
      </c>
      <c r="D31" s="18"/>
      <c r="E31" s="18"/>
      <c r="G31" s="16"/>
      <c r="I31" s="3" t="s">
        <v>14</v>
      </c>
      <c r="J31" s="4"/>
      <c r="K31" s="28">
        <v>130</v>
      </c>
      <c r="L31" s="28">
        <v>10</v>
      </c>
      <c r="M31" s="28">
        <v>30</v>
      </c>
      <c r="N31" s="29">
        <f t="shared" si="3"/>
        <v>0.54</v>
      </c>
      <c r="O31" s="29">
        <f t="shared" si="3"/>
        <v>0.38</v>
      </c>
      <c r="P31" s="29">
        <f t="shared" si="3"/>
        <v>0.4</v>
      </c>
      <c r="Q31" s="30">
        <f t="shared" si="2"/>
        <v>86</v>
      </c>
    </row>
    <row r="32" spans="1:20" ht="13.5" thickBot="1" x14ac:dyDescent="0.25">
      <c r="C32" s="70" t="s">
        <v>77</v>
      </c>
      <c r="D32" s="71">
        <f>C23*K17</f>
        <v>38</v>
      </c>
      <c r="E32" s="60">
        <f>C23*K17*C22</f>
        <v>76</v>
      </c>
      <c r="G32" s="16"/>
      <c r="I32" s="3" t="s">
        <v>56</v>
      </c>
      <c r="J32" s="4"/>
      <c r="K32" s="28">
        <v>0</v>
      </c>
      <c r="L32" s="28">
        <v>10</v>
      </c>
      <c r="M32" s="28">
        <v>25</v>
      </c>
      <c r="N32" s="29">
        <f t="shared" si="3"/>
        <v>0.54</v>
      </c>
      <c r="O32" s="29">
        <f t="shared" si="3"/>
        <v>0.38</v>
      </c>
      <c r="P32" s="29">
        <f t="shared" si="3"/>
        <v>0.4</v>
      </c>
      <c r="Q32" s="30">
        <f t="shared" si="2"/>
        <v>13.8</v>
      </c>
    </row>
    <row r="33" spans="2:24" ht="13.5" thickBot="1" x14ac:dyDescent="0.25">
      <c r="C33" s="94" t="s">
        <v>82</v>
      </c>
      <c r="D33" s="94"/>
      <c r="E33" s="68">
        <f>SUM(E28:E32)</f>
        <v>257.8</v>
      </c>
      <c r="G33" s="16"/>
      <c r="I33" s="3" t="s">
        <v>55</v>
      </c>
      <c r="J33" s="4"/>
      <c r="K33" s="28">
        <v>70</v>
      </c>
      <c r="L33" s="28">
        <v>20</v>
      </c>
      <c r="M33" s="28">
        <v>40</v>
      </c>
      <c r="N33" s="29">
        <f t="shared" si="3"/>
        <v>0.54</v>
      </c>
      <c r="O33" s="29">
        <f t="shared" si="3"/>
        <v>0.38</v>
      </c>
      <c r="P33" s="29">
        <f t="shared" si="3"/>
        <v>0.4</v>
      </c>
      <c r="Q33" s="30">
        <f t="shared" si="2"/>
        <v>61.400000000000006</v>
      </c>
      <c r="X33" s="43" t="s">
        <v>51</v>
      </c>
    </row>
    <row r="34" spans="2:24" ht="13.5" thickBot="1" x14ac:dyDescent="0.25">
      <c r="E34" s="47"/>
      <c r="G34" s="16"/>
      <c r="I34" s="3" t="s">
        <v>12</v>
      </c>
      <c r="J34" s="4"/>
      <c r="K34" s="28">
        <v>40</v>
      </c>
      <c r="L34" s="28">
        <v>10</v>
      </c>
      <c r="M34" s="28">
        <v>30</v>
      </c>
      <c r="N34" s="29">
        <f t="shared" si="3"/>
        <v>0.54</v>
      </c>
      <c r="O34" s="29">
        <f t="shared" si="3"/>
        <v>0.38</v>
      </c>
      <c r="P34" s="29">
        <f t="shared" si="3"/>
        <v>0.4</v>
      </c>
      <c r="Q34" s="30">
        <f t="shared" si="2"/>
        <v>37.400000000000006</v>
      </c>
    </row>
    <row r="35" spans="2:24" ht="13.5" thickBot="1" x14ac:dyDescent="0.25">
      <c r="C35" s="94" t="s">
        <v>65</v>
      </c>
      <c r="D35" s="94"/>
      <c r="E35" s="68">
        <f>E19+E33</f>
        <v>404.8</v>
      </c>
      <c r="F35" s="47"/>
      <c r="G35" s="16"/>
      <c r="I35" s="3" t="s">
        <v>13</v>
      </c>
      <c r="J35" s="4"/>
      <c r="K35" s="28">
        <v>40</v>
      </c>
      <c r="L35" s="28">
        <v>10</v>
      </c>
      <c r="M35" s="28">
        <v>30</v>
      </c>
      <c r="N35" s="29">
        <f t="shared" si="3"/>
        <v>0.54</v>
      </c>
      <c r="O35" s="29">
        <f t="shared" si="3"/>
        <v>0.38</v>
      </c>
      <c r="P35" s="29">
        <f t="shared" si="3"/>
        <v>0.4</v>
      </c>
      <c r="Q35" s="30">
        <f t="shared" si="2"/>
        <v>37.400000000000006</v>
      </c>
    </row>
    <row r="36" spans="2:24" ht="13.5" thickBot="1" x14ac:dyDescent="0.25">
      <c r="F36" s="47"/>
      <c r="G36" s="16"/>
      <c r="I36" s="7" t="s">
        <v>10</v>
      </c>
      <c r="J36" s="8"/>
      <c r="K36" s="31">
        <v>40</v>
      </c>
      <c r="L36" s="31">
        <v>10</v>
      </c>
      <c r="M36" s="31">
        <v>30</v>
      </c>
      <c r="N36" s="32">
        <f t="shared" si="3"/>
        <v>0.54</v>
      </c>
      <c r="O36" s="32">
        <f t="shared" si="3"/>
        <v>0.38</v>
      </c>
      <c r="P36" s="32">
        <f t="shared" si="3"/>
        <v>0.4</v>
      </c>
      <c r="Q36" s="33">
        <f t="shared" si="2"/>
        <v>37.400000000000006</v>
      </c>
    </row>
    <row r="37" spans="2:24" ht="13.5" thickBot="1" x14ac:dyDescent="0.25">
      <c r="C37" s="66" t="s">
        <v>78</v>
      </c>
      <c r="E37" s="62">
        <v>2.5</v>
      </c>
      <c r="F37" s="47"/>
      <c r="G37" s="16"/>
    </row>
    <row r="38" spans="2:24" ht="13.5" thickBot="1" x14ac:dyDescent="0.25">
      <c r="B38" s="43"/>
      <c r="C38" s="90" t="s">
        <v>75</v>
      </c>
      <c r="D38" s="91"/>
      <c r="E38" s="72">
        <f>E35/(E37*C22)</f>
        <v>80.960000000000008</v>
      </c>
      <c r="F38" s="47"/>
      <c r="G38" s="16"/>
      <c r="I38" s="17" t="s">
        <v>4</v>
      </c>
      <c r="J38" s="1"/>
      <c r="K38" s="24" t="s">
        <v>46</v>
      </c>
      <c r="L38" s="1"/>
      <c r="M38" s="1" t="s">
        <v>64</v>
      </c>
      <c r="N38" s="1"/>
      <c r="O38" s="2" t="s">
        <v>47</v>
      </c>
    </row>
    <row r="39" spans="2:24" ht="13.5" thickBot="1" x14ac:dyDescent="0.25">
      <c r="E39" s="45"/>
      <c r="F39" s="47"/>
      <c r="G39" s="16"/>
      <c r="I39" s="42" t="s">
        <v>62</v>
      </c>
      <c r="J39" s="4"/>
      <c r="K39" s="20">
        <v>16.8</v>
      </c>
      <c r="L39" s="20"/>
      <c r="M39" s="22">
        <v>0.5</v>
      </c>
      <c r="N39" s="9"/>
      <c r="O39" s="14">
        <f t="shared" ref="O39:O46" si="4">M39*K39</f>
        <v>8.4</v>
      </c>
    </row>
    <row r="40" spans="2:24" ht="13.5" thickBot="1" x14ac:dyDescent="0.25">
      <c r="C40" s="65" t="s">
        <v>50</v>
      </c>
      <c r="E40" s="63">
        <v>0.65</v>
      </c>
      <c r="F40" s="47"/>
      <c r="G40" s="16"/>
      <c r="I40" s="42" t="s">
        <v>45</v>
      </c>
      <c r="J40" s="4"/>
      <c r="K40" s="20">
        <v>17</v>
      </c>
      <c r="L40" s="20"/>
      <c r="M40" s="22">
        <v>0.5</v>
      </c>
      <c r="N40" s="9"/>
      <c r="O40" s="14">
        <f t="shared" si="4"/>
        <v>8.5</v>
      </c>
    </row>
    <row r="41" spans="2:24" ht="13.5" thickBot="1" x14ac:dyDescent="0.25">
      <c r="C41" s="90" t="s">
        <v>74</v>
      </c>
      <c r="D41" s="91"/>
      <c r="E41" s="64">
        <f>E38/E40</f>
        <v>124.55384615384617</v>
      </c>
      <c r="F41" s="47"/>
      <c r="G41" s="16"/>
      <c r="I41" s="42" t="s">
        <v>63</v>
      </c>
      <c r="J41" s="4"/>
      <c r="K41" s="20">
        <v>17.2</v>
      </c>
      <c r="L41" s="20"/>
      <c r="M41" s="22">
        <v>0.33</v>
      </c>
      <c r="N41" s="9"/>
      <c r="O41" s="14">
        <f t="shared" si="4"/>
        <v>5.6760000000000002</v>
      </c>
    </row>
    <row r="42" spans="2:24" x14ac:dyDescent="0.2">
      <c r="B42" s="49"/>
      <c r="G42" s="16"/>
      <c r="I42" s="11" t="s">
        <v>69</v>
      </c>
      <c r="J42" s="4"/>
      <c r="K42" s="20">
        <v>30</v>
      </c>
      <c r="L42" s="19"/>
      <c r="M42" s="19">
        <v>0.1875</v>
      </c>
      <c r="N42" s="6"/>
      <c r="O42" s="14">
        <f t="shared" si="4"/>
        <v>5.625</v>
      </c>
    </row>
    <row r="43" spans="2:24" x14ac:dyDescent="0.2">
      <c r="G43" s="16"/>
      <c r="I43" s="3" t="s">
        <v>41</v>
      </c>
      <c r="J43" s="4"/>
      <c r="K43" s="20">
        <v>80</v>
      </c>
      <c r="L43" s="20"/>
      <c r="M43" s="22">
        <v>0</v>
      </c>
      <c r="N43" s="9"/>
      <c r="O43" s="14">
        <f t="shared" si="4"/>
        <v>0</v>
      </c>
    </row>
    <row r="44" spans="2:24" x14ac:dyDescent="0.2">
      <c r="I44" s="3" t="s">
        <v>60</v>
      </c>
      <c r="J44" s="4"/>
      <c r="K44" s="20">
        <v>56</v>
      </c>
      <c r="L44" s="20"/>
      <c r="M44" s="22">
        <v>0.2</v>
      </c>
      <c r="N44" s="9"/>
      <c r="O44" s="14">
        <f t="shared" si="4"/>
        <v>11.200000000000001</v>
      </c>
    </row>
    <row r="45" spans="2:24" x14ac:dyDescent="0.2">
      <c r="I45" s="11" t="s">
        <v>44</v>
      </c>
      <c r="J45" s="4"/>
      <c r="K45" s="20">
        <v>85</v>
      </c>
      <c r="L45" s="20"/>
      <c r="M45" s="22">
        <v>0.13</v>
      </c>
      <c r="N45" s="9"/>
      <c r="O45" s="14">
        <f t="shared" si="4"/>
        <v>11.05</v>
      </c>
    </row>
    <row r="46" spans="2:24" ht="13.5" thickBot="1" x14ac:dyDescent="0.25">
      <c r="I46" s="7" t="s">
        <v>61</v>
      </c>
      <c r="J46" s="8"/>
      <c r="K46" s="21">
        <v>28</v>
      </c>
      <c r="L46" s="21"/>
      <c r="M46" s="23">
        <v>0.2</v>
      </c>
      <c r="N46" s="13"/>
      <c r="O46" s="15">
        <f t="shared" si="4"/>
        <v>5.6000000000000005</v>
      </c>
    </row>
    <row r="59" spans="1:1" x14ac:dyDescent="0.2">
      <c r="A59" s="36" t="s">
        <v>54</v>
      </c>
    </row>
    <row r="60" spans="1:1" x14ac:dyDescent="0.2">
      <c r="A60" s="36" t="s">
        <v>70</v>
      </c>
    </row>
    <row r="61" spans="1:1" x14ac:dyDescent="0.2">
      <c r="A61" s="36"/>
    </row>
    <row r="62" spans="1:1" x14ac:dyDescent="0.2">
      <c r="A62" s="36"/>
    </row>
    <row r="84" spans="9:11" ht="13.5" thickBot="1" x14ac:dyDescent="0.25"/>
    <row r="85" spans="9:11" ht="13.5" thickBot="1" x14ac:dyDescent="0.25">
      <c r="I85" s="85" t="s">
        <v>0</v>
      </c>
      <c r="J85" s="86"/>
      <c r="K85" s="87" t="s">
        <v>59</v>
      </c>
    </row>
    <row r="86" spans="9:11" x14ac:dyDescent="0.2">
      <c r="I86" s="11" t="s">
        <v>29</v>
      </c>
      <c r="J86" s="12"/>
      <c r="K86" s="37">
        <v>9.5</v>
      </c>
    </row>
    <row r="87" spans="9:11" x14ac:dyDescent="0.2">
      <c r="I87" s="56" t="s">
        <v>28</v>
      </c>
      <c r="J87" s="57"/>
      <c r="K87" s="37">
        <v>18</v>
      </c>
    </row>
    <row r="88" spans="9:11" x14ac:dyDescent="0.2">
      <c r="I88" s="56" t="s">
        <v>48</v>
      </c>
      <c r="J88" s="57"/>
      <c r="K88" s="37">
        <v>18</v>
      </c>
    </row>
    <row r="89" spans="9:11" ht="13.5" thickBot="1" x14ac:dyDescent="0.25">
      <c r="I89" s="81" t="s">
        <v>40</v>
      </c>
      <c r="J89" s="82"/>
      <c r="K89" s="84">
        <v>0</v>
      </c>
    </row>
    <row r="90" spans="9:11" x14ac:dyDescent="0.2">
      <c r="I90" s="56" t="s">
        <v>25</v>
      </c>
      <c r="J90" s="57"/>
      <c r="K90" s="37">
        <v>14</v>
      </c>
    </row>
    <row r="91" spans="9:11" x14ac:dyDescent="0.2">
      <c r="I91" s="56" t="s">
        <v>73</v>
      </c>
      <c r="J91" s="57"/>
      <c r="K91" s="37">
        <v>18.5</v>
      </c>
    </row>
    <row r="92" spans="9:11" x14ac:dyDescent="0.2">
      <c r="I92" s="56" t="s">
        <v>26</v>
      </c>
      <c r="J92" s="57"/>
      <c r="K92" s="37">
        <v>9</v>
      </c>
    </row>
    <row r="93" spans="9:11" x14ac:dyDescent="0.2">
      <c r="I93" s="56" t="s">
        <v>27</v>
      </c>
      <c r="J93" s="57"/>
      <c r="K93" s="37">
        <v>14.5</v>
      </c>
    </row>
    <row r="94" spans="9:11" ht="13.5" thickBot="1" x14ac:dyDescent="0.25">
      <c r="I94" s="81" t="s">
        <v>40</v>
      </c>
      <c r="J94" s="82"/>
      <c r="K94" s="84">
        <v>0</v>
      </c>
    </row>
    <row r="95" spans="9:11" x14ac:dyDescent="0.2">
      <c r="I95" s="56" t="s">
        <v>42</v>
      </c>
      <c r="J95" s="57"/>
      <c r="K95" s="37">
        <v>5.5</v>
      </c>
    </row>
    <row r="96" spans="9:11" x14ac:dyDescent="0.2">
      <c r="I96" s="56" t="s">
        <v>30</v>
      </c>
      <c r="J96" s="57" t="s">
        <v>67</v>
      </c>
      <c r="K96" s="37">
        <v>19</v>
      </c>
    </row>
    <row r="97" spans="9:11" ht="13.5" thickBot="1" x14ac:dyDescent="0.25">
      <c r="I97" s="81" t="s">
        <v>40</v>
      </c>
      <c r="J97" s="82"/>
      <c r="K97" s="84">
        <v>0</v>
      </c>
    </row>
    <row r="98" spans="9:11" x14ac:dyDescent="0.2">
      <c r="I98" s="56" t="s">
        <v>31</v>
      </c>
      <c r="J98" s="57"/>
      <c r="K98" s="37">
        <v>7</v>
      </c>
    </row>
    <row r="99" spans="9:11" ht="13.5" thickBot="1" x14ac:dyDescent="0.25">
      <c r="I99" s="81" t="s">
        <v>40</v>
      </c>
      <c r="J99" s="82"/>
      <c r="K99" s="83">
        <v>0</v>
      </c>
    </row>
    <row r="100" spans="9:11" x14ac:dyDescent="0.2">
      <c r="I100" s="51" t="s">
        <v>66</v>
      </c>
      <c r="J100" s="44">
        <v>41873</v>
      </c>
      <c r="K100" s="52"/>
    </row>
    <row r="101" spans="9:11" x14ac:dyDescent="0.2">
      <c r="I101" s="46" t="s">
        <v>68</v>
      </c>
    </row>
  </sheetData>
  <sheetProtection algorithmName="SHA-512" hashValue="AB8s1AuWplqQ90BG92UGJnecrlIM3m0ioCSezSGUVRK2jAsL0soOLrI+satNoNoNx9GR0lpCj7dmsh7R95TYOw==" saltValue="8UziXE+fxIwSEZY2niarbg==" spinCount="100000" sheet="1" objects="1" scenarios="1"/>
  <mergeCells count="15">
    <mergeCell ref="C38:D38"/>
    <mergeCell ref="C41:D41"/>
    <mergeCell ref="B1:L1"/>
    <mergeCell ref="A21:B21"/>
    <mergeCell ref="C35:D35"/>
    <mergeCell ref="E11:E12"/>
    <mergeCell ref="D11:D12"/>
    <mergeCell ref="A11:C12"/>
    <mergeCell ref="A22:B22"/>
    <mergeCell ref="B19:D19"/>
    <mergeCell ref="B15:B16"/>
    <mergeCell ref="B13:B14"/>
    <mergeCell ref="A24:B24"/>
    <mergeCell ref="C33:D33"/>
    <mergeCell ref="A23:B23"/>
  </mergeCells>
  <dataValidations count="7">
    <dataValidation type="list" allowBlank="1" showInputMessage="1" showErrorMessage="1" sqref="C14">
      <formula1>"Disking, Plowing, Harrowing, Soil finishing, None"</formula1>
    </dataValidation>
    <dataValidation type="list" allowBlank="1" showInputMessage="1" showErrorMessage="1" sqref="C15:C16">
      <formula1>"Dry bulk fertilizer, Liming, None"</formula1>
    </dataValidation>
    <dataValidation type="list" allowBlank="1" showInputMessage="1" showErrorMessage="1" sqref="C17">
      <formula1>"Broadcast seeding, Drilling small grain, No-till corn, None"</formula1>
    </dataValidation>
    <dataValidation type="list" allowBlank="1" showInputMessage="1" showErrorMessage="1" sqref="C18">
      <formula1>"Spraying, None"</formula1>
    </dataValidation>
    <dataValidation type="list" allowBlank="1" showInputMessage="1" showErrorMessage="1" sqref="C21">
      <formula1>$M$10:$M$21</formula1>
    </dataValidation>
    <dataValidation type="list" allowBlank="1" showInputMessage="1" showErrorMessage="1" sqref="C24">
      <formula1>$I$39:$I$46</formula1>
    </dataValidation>
    <dataValidation type="list" allowBlank="1" showInputMessage="1" showErrorMessage="1" sqref="C13">
      <formula1>"Disking, Plowing, Harrowing, Soil Finishing, None"</formula1>
    </dataValidation>
  </dataValidations>
  <pageMargins left="0.2" right="0.2" top="0.75" bottom="0.75" header="0.25" footer="0.3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Lehm</dc:creator>
  <cp:lastModifiedBy>jwlehmkuhler</cp:lastModifiedBy>
  <dcterms:created xsi:type="dcterms:W3CDTF">2007-06-26T15:01:28Z</dcterms:created>
  <dcterms:modified xsi:type="dcterms:W3CDTF">2014-09-11T22:27:32Z</dcterms:modified>
</cp:coreProperties>
</file>